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6275" windowHeight="9495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E10" i="1"/>
  <c r="E9"/>
  <c r="E20" i="2"/>
  <c r="E13" i="4"/>
  <c r="D13"/>
  <c r="C13"/>
  <c r="E8"/>
  <c r="D8"/>
  <c r="E4"/>
  <c r="D4"/>
  <c r="C4"/>
  <c r="D16" i="3"/>
  <c r="E16"/>
  <c r="E12"/>
  <c r="D12"/>
  <c r="C7"/>
  <c r="D7"/>
  <c r="E7"/>
  <c r="B7"/>
  <c r="C5"/>
  <c r="D5"/>
  <c r="E5"/>
  <c r="B5"/>
  <c r="E4"/>
  <c r="E24" s="1"/>
  <c r="D4"/>
  <c r="D24" s="1"/>
  <c r="C4"/>
  <c r="C24" s="1"/>
  <c r="E15" i="2"/>
  <c r="D15"/>
  <c r="E12"/>
  <c r="D12"/>
  <c r="E10"/>
  <c r="E11"/>
  <c r="D10"/>
  <c r="D11"/>
  <c r="C11"/>
  <c r="D5"/>
  <c r="C5"/>
  <c r="D4"/>
  <c r="D20" s="1"/>
  <c r="C4"/>
  <c r="C20" s="1"/>
  <c r="B4"/>
  <c r="E3"/>
  <c r="D3"/>
  <c r="C3"/>
  <c r="E18" i="1"/>
  <c r="D18"/>
  <c r="C18"/>
  <c r="E17"/>
  <c r="D17"/>
  <c r="C17"/>
  <c r="B17"/>
  <c r="E14"/>
  <c r="D14"/>
  <c r="C14"/>
  <c r="E13"/>
  <c r="D13"/>
  <c r="C13"/>
  <c r="E12"/>
  <c r="E5" i="2" s="1"/>
  <c r="D12" i="1"/>
  <c r="C12"/>
  <c r="E11"/>
  <c r="E4" i="2" s="1"/>
  <c r="D11" i="1"/>
  <c r="C11"/>
  <c r="D9"/>
  <c r="D10"/>
  <c r="D8"/>
  <c r="D7"/>
  <c r="D5"/>
</calcChain>
</file>

<file path=xl/sharedStrings.xml><?xml version="1.0" encoding="utf-8"?>
<sst xmlns="http://schemas.openxmlformats.org/spreadsheetml/2006/main" count="175" uniqueCount="82">
  <si>
    <t>Journey #1</t>
  </si>
  <si>
    <t>Antioch</t>
  </si>
  <si>
    <t>Selucia</t>
  </si>
  <si>
    <t>Salamis</t>
  </si>
  <si>
    <t>Iconium</t>
  </si>
  <si>
    <t>Lystra</t>
  </si>
  <si>
    <t>Derbe</t>
  </si>
  <si>
    <t>Paphos</t>
  </si>
  <si>
    <t>Perga</t>
  </si>
  <si>
    <t>Attalia</t>
  </si>
  <si>
    <t>River</t>
  </si>
  <si>
    <t>Mode</t>
  </si>
  <si>
    <t>Distance</t>
  </si>
  <si>
    <t>Time</t>
  </si>
  <si>
    <t>Cost</t>
  </si>
  <si>
    <t>Alt Mode</t>
  </si>
  <si>
    <t>Alt Distance</t>
  </si>
  <si>
    <t>Alt Time</t>
  </si>
  <si>
    <t>Alt Cost</t>
  </si>
  <si>
    <t>Foot</t>
  </si>
  <si>
    <t>Faster Sail</t>
  </si>
  <si>
    <t>Faster Sail (Daylight)</t>
  </si>
  <si>
    <t>Perga-Antioch: modern roads</t>
  </si>
  <si>
    <t>Salamis-Paphos: http://books.google.com/books?id=IRZiz4HNJ7oC&amp;printsec=frontcover&amp;hl=da#v=onepage&amp;q&amp;f=false and http://en.wikipedia.org/wiki/Roman_Cyprus and modern roads</t>
  </si>
  <si>
    <t>Journey #2</t>
  </si>
  <si>
    <t>Troas</t>
  </si>
  <si>
    <t>Antioch-Derbe cost based on Antioch-Tyana + proportional Tyana-Iconium (160km using modern roads)</t>
  </si>
  <si>
    <t>Iconium-Troas via the southern route is 896km / 29.9 days / 25.09d per kg</t>
  </si>
  <si>
    <t>Iconium-Dorylaion is 416km / 13.9 days / 11.66d per kg</t>
  </si>
  <si>
    <t>Dorylaion-Troas is via modern roads. Cost is estimated</t>
  </si>
  <si>
    <t>Samothrace</t>
  </si>
  <si>
    <t>Neapolis</t>
  </si>
  <si>
    <t>Philippi</t>
  </si>
  <si>
    <t>Amphipolis</t>
  </si>
  <si>
    <t>Apollonia</t>
  </si>
  <si>
    <t>Thessalonica</t>
  </si>
  <si>
    <t>Berea</t>
  </si>
  <si>
    <t>Athens</t>
  </si>
  <si>
    <t>Corinth</t>
  </si>
  <si>
    <t>Cenechreae</t>
  </si>
  <si>
    <t>Caesarea</t>
  </si>
  <si>
    <t>Jerusalem</t>
  </si>
  <si>
    <t>Troas-Neapolis data is from Sestus; Orbis does weird routing from Troas. Samothrace data isn't available but may have just been overnight, anyway (according to the ESVSB)</t>
  </si>
  <si>
    <t>Apollonia data is via modern roads. Cost is proportional</t>
  </si>
  <si>
    <t>Thessalonica-Berea is via modern roads. Cost is based on transit to Pella (42km / 1.4 days  / 1.17d). Part of the trip could have been by river boat</t>
  </si>
  <si>
    <t>Berea-Athens is from Thessalonica</t>
  </si>
  <si>
    <t>Ephesus</t>
  </si>
  <si>
    <t>Cenechreae-Ephesus is from Eleusis</t>
  </si>
  <si>
    <t>Assos</t>
  </si>
  <si>
    <t>Chios</t>
  </si>
  <si>
    <t>Samos</t>
  </si>
  <si>
    <t>Miletus</t>
  </si>
  <si>
    <t>Cos</t>
  </si>
  <si>
    <t>Rhodes</t>
  </si>
  <si>
    <t>Patara</t>
  </si>
  <si>
    <t>Tyre</t>
  </si>
  <si>
    <t>Ptolemais</t>
  </si>
  <si>
    <t>Ephesus-Neapolis is via Troas; Troas-Neapolis is from Sestus</t>
  </si>
  <si>
    <t>Berea-Corinth is Thessalonica-Eleusis</t>
  </si>
  <si>
    <t>Troas-Assos is based on Troas-Adramyttium, with modern roads for the length</t>
  </si>
  <si>
    <t>Assos-Mytilene is Tenedos-Mytilene</t>
  </si>
  <si>
    <t>Mytilene</t>
  </si>
  <si>
    <t>Samos-Mytilene distance is from Google Earth. Time/Cost is based on Samos-Bargylia</t>
  </si>
  <si>
    <t>Miletus-Kos uses Bargylla-Kos because (1) Miletus doesn't exist; (2) Samos-Kos has weird routing</t>
  </si>
  <si>
    <t>To Rome</t>
  </si>
  <si>
    <t>Sidon</t>
  </si>
  <si>
    <t>Myra</t>
  </si>
  <si>
    <t>Cnidus</t>
  </si>
  <si>
    <t>Lasea</t>
  </si>
  <si>
    <t>Malta</t>
  </si>
  <si>
    <t>Syracuse</t>
  </si>
  <si>
    <t>Rhegium</t>
  </si>
  <si>
    <t>Puteoli</t>
  </si>
  <si>
    <t>Rome</t>
  </si>
  <si>
    <t>Rapid military march (foot)</t>
  </si>
  <si>
    <t>Caesarea-Sidon splits the difference between Caesarea-Tyrus (120km / 0.9 days / 23.51d) and Caesarea-Berytus (206km / 1.5 days / 38.39d)</t>
  </si>
  <si>
    <t>Sidon-Myra is Berytus-Myra; the route in Orbis is a little weird and fits better than Tyrus</t>
  </si>
  <si>
    <t>Lasea-Malta length is based on Google Earth; Orbis routes through Sicily. Kaudos-Malta is 1,111km /  8.7 days / 219.62d</t>
  </si>
  <si>
    <t>Cnidus-Lasea is to Kriou Metopon Pr. It looks like the best fit</t>
  </si>
  <si>
    <t>Antioch-Iconium-Derbe-Lystra uses modern roads with best-guess cost based on Iconium-Tyana (210km / 7 days / 5.88d per kg)</t>
  </si>
  <si>
    <t>Total cost only includes sea travel</t>
  </si>
  <si>
    <t>Overland cost is per kg of wheat via donkey</t>
  </si>
</sst>
</file>

<file path=xl/styles.xml><?xml version="1.0" encoding="utf-8"?>
<styleSheet xmlns="http://schemas.openxmlformats.org/spreadsheetml/2006/main">
  <numFmts count="1">
    <numFmt numFmtId="165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/>
  </sheetViews>
  <sheetFormatPr defaultRowHeight="15"/>
  <cols>
    <col min="1" max="1" width="10.42578125" bestFit="1" customWidth="1"/>
    <col min="4" max="4" width="9.5703125" style="2" bestFit="1" customWidth="1"/>
    <col min="5" max="5" width="9.140625" style="1"/>
  </cols>
  <sheetData>
    <row r="1" spans="1:9">
      <c r="A1" t="s">
        <v>0</v>
      </c>
      <c r="B1" t="s">
        <v>11</v>
      </c>
      <c r="C1" t="s">
        <v>12</v>
      </c>
      <c r="D1" s="2" t="s">
        <v>13</v>
      </c>
      <c r="E1" s="1" t="s">
        <v>14</v>
      </c>
      <c r="F1" t="s">
        <v>15</v>
      </c>
      <c r="G1" t="s">
        <v>16</v>
      </c>
      <c r="H1" t="s">
        <v>17</v>
      </c>
      <c r="I1" t="s">
        <v>18</v>
      </c>
    </row>
    <row r="2" spans="1:9">
      <c r="A2" t="s">
        <v>1</v>
      </c>
    </row>
    <row r="3" spans="1:9">
      <c r="A3" t="s">
        <v>2</v>
      </c>
      <c r="B3" t="s">
        <v>19</v>
      </c>
      <c r="C3">
        <v>23</v>
      </c>
      <c r="D3" s="2">
        <v>0.8</v>
      </c>
      <c r="E3" s="1">
        <v>0.65</v>
      </c>
      <c r="F3" t="s">
        <v>10</v>
      </c>
      <c r="G3">
        <v>48</v>
      </c>
      <c r="H3">
        <v>0.7</v>
      </c>
      <c r="I3">
        <v>41.45</v>
      </c>
    </row>
    <row r="4" spans="1:9">
      <c r="A4" t="s">
        <v>3</v>
      </c>
      <c r="B4" t="s">
        <v>20</v>
      </c>
      <c r="C4">
        <v>236</v>
      </c>
      <c r="D4" s="2">
        <v>2.2999999999999998</v>
      </c>
      <c r="E4" s="1">
        <v>58.76</v>
      </c>
      <c r="F4" t="s">
        <v>21</v>
      </c>
      <c r="G4">
        <v>236</v>
      </c>
      <c r="H4">
        <v>3.8</v>
      </c>
      <c r="I4">
        <v>94.6</v>
      </c>
    </row>
    <row r="5" spans="1:9">
      <c r="A5" t="s">
        <v>7</v>
      </c>
      <c r="B5" t="s">
        <v>19</v>
      </c>
      <c r="C5">
        <v>191</v>
      </c>
      <c r="D5" s="2">
        <f>C5/30</f>
        <v>6.3666666666666663</v>
      </c>
      <c r="E5" s="1">
        <v>0.65</v>
      </c>
    </row>
    <row r="6" spans="1:9">
      <c r="A6" t="s">
        <v>8</v>
      </c>
      <c r="B6" t="s">
        <v>20</v>
      </c>
      <c r="C6">
        <v>368</v>
      </c>
      <c r="D6" s="2">
        <v>3.4</v>
      </c>
      <c r="E6" s="1">
        <v>93.7</v>
      </c>
    </row>
    <row r="7" spans="1:9">
      <c r="A7" t="s">
        <v>1</v>
      </c>
      <c r="B7" t="s">
        <v>19</v>
      </c>
      <c r="C7">
        <v>193</v>
      </c>
      <c r="D7" s="2">
        <f>C7/30</f>
        <v>6.4333333333333336</v>
      </c>
      <c r="E7" s="1">
        <v>11</v>
      </c>
    </row>
    <row r="8" spans="1:9">
      <c r="A8" t="s">
        <v>4</v>
      </c>
      <c r="B8" t="s">
        <v>19</v>
      </c>
      <c r="C8">
        <v>159</v>
      </c>
      <c r="D8" s="2">
        <f>C8/30</f>
        <v>5.3</v>
      </c>
      <c r="E8" s="1">
        <v>11</v>
      </c>
    </row>
    <row r="9" spans="1:9">
      <c r="A9" t="s">
        <v>5</v>
      </c>
      <c r="B9" t="s">
        <v>19</v>
      </c>
      <c r="C9">
        <v>50</v>
      </c>
      <c r="D9" s="2">
        <f>C9/30</f>
        <v>1.6666666666666667</v>
      </c>
      <c r="E9" s="1">
        <f>C9/210*5.88</f>
        <v>1.4</v>
      </c>
    </row>
    <row r="10" spans="1:9">
      <c r="A10" t="s">
        <v>6</v>
      </c>
      <c r="B10" t="s">
        <v>19</v>
      </c>
      <c r="C10">
        <v>126</v>
      </c>
      <c r="D10" s="2">
        <f>C10/30</f>
        <v>4.2</v>
      </c>
      <c r="E10" s="1">
        <f>C10/210*5.88</f>
        <v>3.528</v>
      </c>
    </row>
    <row r="11" spans="1:9">
      <c r="A11" t="s">
        <v>5</v>
      </c>
      <c r="B11" t="s">
        <v>19</v>
      </c>
      <c r="C11">
        <f>C10</f>
        <v>126</v>
      </c>
      <c r="D11" s="2">
        <f>D10</f>
        <v>4.2</v>
      </c>
      <c r="E11" s="1">
        <f>E10</f>
        <v>3.528</v>
      </c>
    </row>
    <row r="12" spans="1:9">
      <c r="A12" t="s">
        <v>4</v>
      </c>
      <c r="B12" t="s">
        <v>19</v>
      </c>
      <c r="C12">
        <f>C9</f>
        <v>50</v>
      </c>
      <c r="D12" s="2">
        <f>D9</f>
        <v>1.6666666666666667</v>
      </c>
      <c r="E12" s="1">
        <f>E9</f>
        <v>1.4</v>
      </c>
    </row>
    <row r="13" spans="1:9">
      <c r="A13" t="s">
        <v>1</v>
      </c>
      <c r="B13" t="s">
        <v>19</v>
      </c>
      <c r="C13">
        <f>C8</f>
        <v>159</v>
      </c>
      <c r="D13" s="2">
        <f>D8</f>
        <v>5.3</v>
      </c>
      <c r="E13" s="1">
        <f>E8</f>
        <v>11</v>
      </c>
    </row>
    <row r="14" spans="1:9">
      <c r="A14" t="s">
        <v>8</v>
      </c>
      <c r="B14" t="s">
        <v>19</v>
      </c>
      <c r="C14">
        <f>C7</f>
        <v>193</v>
      </c>
      <c r="D14" s="2">
        <f>D7</f>
        <v>6.4333333333333336</v>
      </c>
      <c r="E14" s="1">
        <f>E7</f>
        <v>11</v>
      </c>
    </row>
    <row r="15" spans="1:9">
      <c r="A15" t="s">
        <v>9</v>
      </c>
      <c r="B15" t="s">
        <v>19</v>
      </c>
      <c r="C15">
        <v>16</v>
      </c>
      <c r="D15" s="2">
        <v>0.5</v>
      </c>
      <c r="E15" s="1">
        <v>0.45</v>
      </c>
    </row>
    <row r="16" spans="1:9">
      <c r="A16" t="s">
        <v>2</v>
      </c>
      <c r="B16" t="s">
        <v>20</v>
      </c>
      <c r="C16">
        <v>631</v>
      </c>
      <c r="D16" s="2">
        <v>3.4</v>
      </c>
      <c r="E16" s="1">
        <v>84.82</v>
      </c>
    </row>
    <row r="17" spans="1:5">
      <c r="A17" t="s">
        <v>1</v>
      </c>
      <c r="B17" t="str">
        <f>B3</f>
        <v>Foot</v>
      </c>
      <c r="C17">
        <f>C3</f>
        <v>23</v>
      </c>
      <c r="D17" s="2">
        <f>D3</f>
        <v>0.8</v>
      </c>
      <c r="E17" s="1">
        <f>E3</f>
        <v>0.65</v>
      </c>
    </row>
    <row r="18" spans="1:5">
      <c r="C18">
        <f>SUM(C3:C17)</f>
        <v>2544</v>
      </c>
      <c r="D18" s="2">
        <f>SUM(D3:D17)</f>
        <v>52.766666666666659</v>
      </c>
      <c r="E18" s="1">
        <f>SUM(E4,E6,E16)</f>
        <v>237.28</v>
      </c>
    </row>
    <row r="19" spans="1:5">
      <c r="A19" t="s">
        <v>23</v>
      </c>
    </row>
    <row r="20" spans="1:5">
      <c r="A20" t="s">
        <v>22</v>
      </c>
    </row>
    <row r="21" spans="1:5">
      <c r="A21" t="s">
        <v>79</v>
      </c>
    </row>
    <row r="22" spans="1:5">
      <c r="A22" t="s">
        <v>81</v>
      </c>
    </row>
    <row r="23" spans="1:5">
      <c r="A23" t="s">
        <v>80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/>
  </sheetViews>
  <sheetFormatPr defaultRowHeight="15"/>
  <cols>
    <col min="4" max="4" width="9.140625" style="2"/>
    <col min="5" max="5" width="9.140625" style="1"/>
  </cols>
  <sheetData>
    <row r="1" spans="1:5">
      <c r="A1" t="s">
        <v>24</v>
      </c>
      <c r="B1" t="s">
        <v>11</v>
      </c>
      <c r="C1" t="s">
        <v>12</v>
      </c>
      <c r="D1" s="2" t="s">
        <v>13</v>
      </c>
      <c r="E1" s="1" t="s">
        <v>14</v>
      </c>
    </row>
    <row r="2" spans="1:5">
      <c r="A2" t="s">
        <v>1</v>
      </c>
    </row>
    <row r="3" spans="1:5">
      <c r="A3" t="s">
        <v>6</v>
      </c>
      <c r="B3" t="s">
        <v>19</v>
      </c>
      <c r="C3">
        <f>317+160</f>
        <v>477</v>
      </c>
      <c r="D3" s="2">
        <f>11.8+(160/30)</f>
        <v>17.133333333333333</v>
      </c>
      <c r="E3" s="1">
        <f>8.87+(5.88*160/210)</f>
        <v>13.349999999999998</v>
      </c>
    </row>
    <row r="4" spans="1:5">
      <c r="A4" t="s">
        <v>5</v>
      </c>
      <c r="B4" t="str">
        <f>Sheet1!B11</f>
        <v>Foot</v>
      </c>
      <c r="C4">
        <f>Sheet1!C11</f>
        <v>126</v>
      </c>
      <c r="D4" s="2">
        <f>Sheet1!D11</f>
        <v>4.2</v>
      </c>
      <c r="E4" s="1">
        <f>Sheet1!E11</f>
        <v>3.528</v>
      </c>
    </row>
    <row r="5" spans="1:5">
      <c r="A5" t="s">
        <v>25</v>
      </c>
      <c r="B5" t="s">
        <v>19</v>
      </c>
      <c r="C5">
        <f>Sheet1!C12+416+484</f>
        <v>950</v>
      </c>
      <c r="D5" s="2">
        <f>Sheet1!D12+13.9+484/30</f>
        <v>31.7</v>
      </c>
      <c r="E5" s="1">
        <f>Sheet1!E12+11.66+12</f>
        <v>25.060000000000002</v>
      </c>
    </row>
    <row r="6" spans="1:5">
      <c r="A6" t="s">
        <v>30</v>
      </c>
    </row>
    <row r="7" spans="1:5">
      <c r="A7" t="s">
        <v>31</v>
      </c>
      <c r="B7" t="s">
        <v>20</v>
      </c>
      <c r="C7">
        <v>249</v>
      </c>
      <c r="D7" s="2">
        <v>1.5</v>
      </c>
      <c r="E7" s="1">
        <v>38.14</v>
      </c>
    </row>
    <row r="8" spans="1:5">
      <c r="A8" t="s">
        <v>32</v>
      </c>
      <c r="B8" t="s">
        <v>19</v>
      </c>
      <c r="C8">
        <v>19</v>
      </c>
      <c r="D8" s="2">
        <v>0.6</v>
      </c>
      <c r="E8" s="1">
        <v>0.54</v>
      </c>
    </row>
    <row r="9" spans="1:5">
      <c r="A9" t="s">
        <v>33</v>
      </c>
      <c r="B9" t="s">
        <v>19</v>
      </c>
      <c r="C9">
        <v>57</v>
      </c>
      <c r="D9" s="2">
        <v>1.9</v>
      </c>
      <c r="E9" s="1">
        <v>1.6</v>
      </c>
    </row>
    <row r="10" spans="1:5">
      <c r="A10" t="s">
        <v>34</v>
      </c>
      <c r="B10" t="s">
        <v>19</v>
      </c>
      <c r="C10">
        <v>47</v>
      </c>
      <c r="D10" s="2">
        <f>C10/30</f>
        <v>1.5666666666666667</v>
      </c>
      <c r="E10" s="1">
        <f>C10/(SUM(C10:C11))*2.71</f>
        <v>1.3130927835051547</v>
      </c>
    </row>
    <row r="11" spans="1:5">
      <c r="A11" t="s">
        <v>35</v>
      </c>
      <c r="B11" t="s">
        <v>19</v>
      </c>
      <c r="C11">
        <f>97-C10</f>
        <v>50</v>
      </c>
      <c r="D11" s="2">
        <f>3.2-D10</f>
        <v>1.6333333333333335</v>
      </c>
      <c r="E11" s="1">
        <f>2.71-E10</f>
        <v>1.3969072164948453</v>
      </c>
    </row>
    <row r="12" spans="1:5">
      <c r="A12" t="s">
        <v>36</v>
      </c>
      <c r="B12" t="s">
        <v>19</v>
      </c>
      <c r="C12">
        <v>72</v>
      </c>
      <c r="D12" s="2">
        <f>1.4*72/42</f>
        <v>2.4</v>
      </c>
      <c r="E12" s="1">
        <f>1.17*72/42</f>
        <v>2.0057142857142858</v>
      </c>
    </row>
    <row r="13" spans="1:5">
      <c r="A13" t="s">
        <v>37</v>
      </c>
      <c r="B13" t="s">
        <v>20</v>
      </c>
      <c r="C13">
        <v>540</v>
      </c>
      <c r="D13" s="2">
        <v>3.2</v>
      </c>
      <c r="E13" s="1">
        <v>79.52</v>
      </c>
    </row>
    <row r="14" spans="1:5">
      <c r="A14" t="s">
        <v>38</v>
      </c>
      <c r="B14" t="s">
        <v>19</v>
      </c>
      <c r="C14">
        <v>85</v>
      </c>
      <c r="D14" s="2">
        <v>2.8</v>
      </c>
      <c r="E14" s="1">
        <v>2.38</v>
      </c>
    </row>
    <row r="15" spans="1:5">
      <c r="A15" t="s">
        <v>39</v>
      </c>
      <c r="B15" t="s">
        <v>19</v>
      </c>
      <c r="C15">
        <v>10</v>
      </c>
      <c r="D15" s="2">
        <f>C15/30</f>
        <v>0.33333333333333331</v>
      </c>
      <c r="E15" s="1">
        <f>E14/D14*D15</f>
        <v>0.28333333333333333</v>
      </c>
    </row>
    <row r="16" spans="1:5">
      <c r="A16" t="s">
        <v>46</v>
      </c>
      <c r="B16" t="s">
        <v>20</v>
      </c>
      <c r="C16">
        <v>440</v>
      </c>
      <c r="D16" s="2">
        <v>2.4</v>
      </c>
      <c r="E16" s="1">
        <v>60.68</v>
      </c>
    </row>
    <row r="17" spans="1:5">
      <c r="A17" t="s">
        <v>40</v>
      </c>
      <c r="B17" t="s">
        <v>20</v>
      </c>
      <c r="C17">
        <v>1083</v>
      </c>
      <c r="D17" s="2">
        <v>5.4</v>
      </c>
      <c r="E17" s="1">
        <v>135.31</v>
      </c>
    </row>
    <row r="18" spans="1:5">
      <c r="A18" t="s">
        <v>41</v>
      </c>
      <c r="B18" t="s">
        <v>19</v>
      </c>
      <c r="C18">
        <v>106</v>
      </c>
      <c r="D18" s="2">
        <v>3.5</v>
      </c>
      <c r="E18" s="1">
        <v>2.96</v>
      </c>
    </row>
    <row r="19" spans="1:5">
      <c r="A19" t="s">
        <v>1</v>
      </c>
      <c r="B19" t="s">
        <v>19</v>
      </c>
      <c r="C19">
        <v>598</v>
      </c>
      <c r="D19" s="2">
        <v>19.899999999999999</v>
      </c>
      <c r="E19" s="1">
        <v>16.75</v>
      </c>
    </row>
    <row r="20" spans="1:5">
      <c r="C20">
        <f>SUM(C3:C19)</f>
        <v>4909</v>
      </c>
      <c r="D20" s="2">
        <f>SUM(D3:D19)</f>
        <v>100.16666666666666</v>
      </c>
      <c r="E20" s="1">
        <f>SUM(E7,E13,E16:E17)</f>
        <v>313.64999999999998</v>
      </c>
    </row>
    <row r="21" spans="1:5">
      <c r="A21" t="s">
        <v>26</v>
      </c>
    </row>
    <row r="22" spans="1:5">
      <c r="A22" t="s">
        <v>27</v>
      </c>
    </row>
    <row r="23" spans="1:5">
      <c r="A23" t="s">
        <v>28</v>
      </c>
    </row>
    <row r="24" spans="1:5">
      <c r="A24" t="s">
        <v>29</v>
      </c>
    </row>
    <row r="25" spans="1:5">
      <c r="A25" t="s">
        <v>42</v>
      </c>
    </row>
    <row r="26" spans="1:5">
      <c r="A26" t="s">
        <v>43</v>
      </c>
    </row>
    <row r="27" spans="1:5">
      <c r="A27" t="s">
        <v>44</v>
      </c>
    </row>
    <row r="28" spans="1:5">
      <c r="A28" t="s">
        <v>45</v>
      </c>
    </row>
    <row r="29" spans="1:5">
      <c r="A29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/>
  </sheetViews>
  <sheetFormatPr defaultRowHeight="15"/>
  <cols>
    <col min="4" max="4" width="9.140625" style="2"/>
    <col min="5" max="5" width="9.140625" style="1"/>
  </cols>
  <sheetData>
    <row r="1" spans="1:5">
      <c r="A1" t="s">
        <v>24</v>
      </c>
      <c r="B1" t="s">
        <v>11</v>
      </c>
      <c r="C1" t="s">
        <v>12</v>
      </c>
      <c r="D1" s="2" t="s">
        <v>13</v>
      </c>
      <c r="E1" s="1" t="s">
        <v>14</v>
      </c>
    </row>
    <row r="2" spans="1:5">
      <c r="A2" t="s">
        <v>1</v>
      </c>
    </row>
    <row r="3" spans="1:5">
      <c r="A3" t="s">
        <v>46</v>
      </c>
      <c r="B3" t="s">
        <v>19</v>
      </c>
      <c r="C3">
        <v>1073</v>
      </c>
      <c r="D3" s="2">
        <v>37</v>
      </c>
      <c r="E3" s="1">
        <v>30.05</v>
      </c>
    </row>
    <row r="4" spans="1:5">
      <c r="A4" t="s">
        <v>31</v>
      </c>
      <c r="B4" t="s">
        <v>20</v>
      </c>
      <c r="C4">
        <f>439+Sheet2!C7</f>
        <v>688</v>
      </c>
      <c r="D4" s="2">
        <f>3.2+Sheet2!D7</f>
        <v>4.7</v>
      </c>
      <c r="E4" s="1">
        <f>79.66+Sheet2!E7</f>
        <v>117.8</v>
      </c>
    </row>
    <row r="5" spans="1:5">
      <c r="A5" t="s">
        <v>32</v>
      </c>
      <c r="B5" t="str">
        <f>Sheet2!B8</f>
        <v>Foot</v>
      </c>
      <c r="C5">
        <f>Sheet2!C8</f>
        <v>19</v>
      </c>
      <c r="D5" s="2">
        <f>Sheet2!D8</f>
        <v>0.6</v>
      </c>
      <c r="E5" s="1">
        <f>Sheet2!E8</f>
        <v>0.54</v>
      </c>
    </row>
    <row r="6" spans="1:5">
      <c r="A6" t="s">
        <v>35</v>
      </c>
      <c r="B6" t="s">
        <v>19</v>
      </c>
      <c r="C6">
        <v>154</v>
      </c>
      <c r="D6" s="2">
        <v>5.0999999999999996</v>
      </c>
      <c r="E6" s="1">
        <v>4.32</v>
      </c>
    </row>
    <row r="7" spans="1:5">
      <c r="A7" t="s">
        <v>36</v>
      </c>
      <c r="B7" t="str">
        <f>Sheet2!B12</f>
        <v>Foot</v>
      </c>
      <c r="C7">
        <f>Sheet2!C12</f>
        <v>72</v>
      </c>
      <c r="D7" s="2">
        <f>Sheet2!D12</f>
        <v>2.4</v>
      </c>
      <c r="E7" s="1">
        <f>Sheet2!E12</f>
        <v>2.0057142857142858</v>
      </c>
    </row>
    <row r="8" spans="1:5">
      <c r="A8" t="s">
        <v>38</v>
      </c>
      <c r="B8" t="s">
        <v>20</v>
      </c>
      <c r="C8">
        <v>571</v>
      </c>
      <c r="D8" s="2">
        <v>3.4</v>
      </c>
      <c r="E8" s="1">
        <v>86.62</v>
      </c>
    </row>
    <row r="9" spans="1:5">
      <c r="A9" t="s">
        <v>35</v>
      </c>
      <c r="B9" t="s">
        <v>19</v>
      </c>
      <c r="C9">
        <v>524</v>
      </c>
      <c r="D9" s="2">
        <v>17.5</v>
      </c>
      <c r="E9" s="1">
        <v>14.68</v>
      </c>
    </row>
    <row r="10" spans="1:5">
      <c r="A10" t="s">
        <v>31</v>
      </c>
      <c r="B10" t="s">
        <v>19</v>
      </c>
      <c r="C10">
        <v>173</v>
      </c>
      <c r="D10" s="2">
        <v>5.8</v>
      </c>
      <c r="E10" s="1">
        <v>4.8600000000000003</v>
      </c>
    </row>
    <row r="11" spans="1:5">
      <c r="A11" t="s">
        <v>25</v>
      </c>
      <c r="B11" t="s">
        <v>20</v>
      </c>
      <c r="C11">
        <v>249</v>
      </c>
      <c r="D11" s="2">
        <v>1.9</v>
      </c>
      <c r="E11" s="1">
        <v>46.97</v>
      </c>
    </row>
    <row r="12" spans="1:5">
      <c r="A12" t="s">
        <v>48</v>
      </c>
      <c r="B12" t="s">
        <v>19</v>
      </c>
      <c r="C12">
        <v>31</v>
      </c>
      <c r="D12" s="2">
        <f>C12/30</f>
        <v>1.0333333333333334</v>
      </c>
      <c r="E12" s="1">
        <f>3.38*31/121</f>
        <v>0.86595041322314048</v>
      </c>
    </row>
    <row r="13" spans="1:5">
      <c r="A13" t="s">
        <v>61</v>
      </c>
      <c r="B13" t="s">
        <v>20</v>
      </c>
      <c r="C13">
        <v>137</v>
      </c>
      <c r="D13" s="2">
        <v>0.8</v>
      </c>
      <c r="E13" s="1">
        <v>19.28</v>
      </c>
    </row>
    <row r="14" spans="1:5">
      <c r="A14" t="s">
        <v>49</v>
      </c>
      <c r="B14" t="s">
        <v>20</v>
      </c>
      <c r="C14">
        <v>109</v>
      </c>
      <c r="D14" s="2">
        <v>0.6</v>
      </c>
      <c r="E14" s="1">
        <v>15.6</v>
      </c>
    </row>
    <row r="15" spans="1:5">
      <c r="A15" t="s">
        <v>50</v>
      </c>
      <c r="B15" t="s">
        <v>20</v>
      </c>
      <c r="C15">
        <v>135</v>
      </c>
      <c r="D15" s="2">
        <v>0.8</v>
      </c>
      <c r="E15" s="1">
        <v>19.13</v>
      </c>
    </row>
    <row r="16" spans="1:5">
      <c r="A16" t="s">
        <v>51</v>
      </c>
      <c r="B16" t="s">
        <v>20</v>
      </c>
      <c r="C16">
        <v>36</v>
      </c>
      <c r="D16" s="2">
        <f>0.6*C16/105</f>
        <v>0.20571428571428568</v>
      </c>
      <c r="E16" s="1">
        <f>16.26*C16/105</f>
        <v>5.5748571428571427</v>
      </c>
    </row>
    <row r="17" spans="1:5">
      <c r="A17" t="s">
        <v>52</v>
      </c>
      <c r="B17" t="s">
        <v>20</v>
      </c>
      <c r="C17">
        <v>96</v>
      </c>
      <c r="D17" s="2">
        <v>0.7</v>
      </c>
      <c r="E17" s="1">
        <v>17.8</v>
      </c>
    </row>
    <row r="18" spans="1:5">
      <c r="A18" t="s">
        <v>53</v>
      </c>
      <c r="B18" t="s">
        <v>20</v>
      </c>
      <c r="C18">
        <v>120</v>
      </c>
      <c r="D18" s="2">
        <v>0.6</v>
      </c>
      <c r="E18" s="1">
        <v>16.13</v>
      </c>
    </row>
    <row r="19" spans="1:5">
      <c r="A19" t="s">
        <v>54</v>
      </c>
      <c r="B19" t="s">
        <v>20</v>
      </c>
      <c r="C19">
        <v>107</v>
      </c>
      <c r="D19" s="2">
        <v>0.6</v>
      </c>
      <c r="E19" s="1">
        <v>14.9</v>
      </c>
    </row>
    <row r="20" spans="1:5">
      <c r="A20" t="s">
        <v>55</v>
      </c>
      <c r="B20" t="s">
        <v>20</v>
      </c>
      <c r="C20">
        <v>802</v>
      </c>
      <c r="D20" s="2">
        <v>4</v>
      </c>
      <c r="E20" s="1">
        <v>100.84</v>
      </c>
    </row>
    <row r="21" spans="1:5">
      <c r="A21" t="s">
        <v>56</v>
      </c>
      <c r="B21" t="s">
        <v>20</v>
      </c>
      <c r="C21">
        <v>55</v>
      </c>
      <c r="D21" s="2">
        <v>0.4</v>
      </c>
      <c r="E21" s="1">
        <v>9.02</v>
      </c>
    </row>
    <row r="22" spans="1:5">
      <c r="A22" t="s">
        <v>40</v>
      </c>
      <c r="B22" t="s">
        <v>20</v>
      </c>
      <c r="C22">
        <v>65</v>
      </c>
      <c r="D22" s="2">
        <v>0.4</v>
      </c>
      <c r="E22" s="1">
        <v>11.22</v>
      </c>
    </row>
    <row r="23" spans="1:5">
      <c r="A23" t="s">
        <v>41</v>
      </c>
      <c r="B23" t="s">
        <v>19</v>
      </c>
      <c r="C23">
        <v>106</v>
      </c>
      <c r="D23" s="2">
        <v>3.5</v>
      </c>
      <c r="E23" s="1">
        <v>2.96</v>
      </c>
    </row>
    <row r="24" spans="1:5">
      <c r="C24">
        <f>SUM(C3:C23)</f>
        <v>5322</v>
      </c>
      <c r="D24" s="2">
        <f>SUM(D3:D23)</f>
        <v>92.039047619047608</v>
      </c>
      <c r="E24" s="1">
        <f>SUM(E4,E8,E11,E13:E22)</f>
        <v>480.88485714285719</v>
      </c>
    </row>
    <row r="25" spans="1:5">
      <c r="A25" t="s">
        <v>57</v>
      </c>
    </row>
    <row r="26" spans="1:5">
      <c r="A26" t="s">
        <v>58</v>
      </c>
    </row>
    <row r="27" spans="1:5">
      <c r="A27" t="s">
        <v>59</v>
      </c>
    </row>
    <row r="28" spans="1:5">
      <c r="A28" t="s">
        <v>60</v>
      </c>
    </row>
    <row r="29" spans="1:5">
      <c r="A29" t="s">
        <v>62</v>
      </c>
    </row>
    <row r="30" spans="1:5">
      <c r="A3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RowHeight="15"/>
  <cols>
    <col min="4" max="5" width="9.140625" style="1"/>
  </cols>
  <sheetData>
    <row r="1" spans="1:5">
      <c r="A1" t="s">
        <v>64</v>
      </c>
      <c r="B1" t="s">
        <v>11</v>
      </c>
      <c r="C1" t="s">
        <v>12</v>
      </c>
      <c r="D1" s="1" t="s">
        <v>13</v>
      </c>
      <c r="E1" s="1" t="s">
        <v>14</v>
      </c>
    </row>
    <row r="2" spans="1:5">
      <c r="A2" t="s">
        <v>41</v>
      </c>
    </row>
    <row r="3" spans="1:5">
      <c r="A3" t="s">
        <v>40</v>
      </c>
      <c r="B3" t="s">
        <v>74</v>
      </c>
      <c r="C3">
        <v>106</v>
      </c>
      <c r="D3" s="1">
        <v>1.8</v>
      </c>
      <c r="E3" s="1">
        <v>2.96</v>
      </c>
    </row>
    <row r="4" spans="1:5">
      <c r="A4" t="s">
        <v>65</v>
      </c>
      <c r="B4" t="s">
        <v>20</v>
      </c>
      <c r="C4">
        <f>AVERAGE(120,206)</f>
        <v>163</v>
      </c>
      <c r="D4" s="1">
        <f>AVERAGE(0.9,1.5)</f>
        <v>1.2</v>
      </c>
      <c r="E4" s="1">
        <f>AVERAGE(23.51,38.39)</f>
        <v>30.950000000000003</v>
      </c>
    </row>
    <row r="5" spans="1:5">
      <c r="A5" t="s">
        <v>66</v>
      </c>
      <c r="B5" t="s">
        <v>20</v>
      </c>
      <c r="C5">
        <v>739</v>
      </c>
      <c r="D5" s="1">
        <v>6.4</v>
      </c>
      <c r="E5" s="1">
        <v>161.22</v>
      </c>
    </row>
    <row r="6" spans="1:5">
      <c r="A6" t="s">
        <v>67</v>
      </c>
      <c r="B6" t="s">
        <v>20</v>
      </c>
      <c r="C6">
        <v>336</v>
      </c>
      <c r="D6" s="1">
        <v>2.9</v>
      </c>
      <c r="E6" s="1">
        <v>72.22</v>
      </c>
    </row>
    <row r="7" spans="1:5">
      <c r="A7" t="s">
        <v>68</v>
      </c>
      <c r="B7" t="s">
        <v>20</v>
      </c>
      <c r="C7">
        <v>513</v>
      </c>
      <c r="D7" s="1">
        <v>3.6</v>
      </c>
      <c r="E7" s="1">
        <v>89.6</v>
      </c>
    </row>
    <row r="8" spans="1:5">
      <c r="A8" t="s">
        <v>69</v>
      </c>
      <c r="B8" t="s">
        <v>20</v>
      </c>
      <c r="C8">
        <v>950</v>
      </c>
      <c r="D8" s="1">
        <f>C8/1111*8.7</f>
        <v>7.4392439243924384</v>
      </c>
      <c r="E8" s="1">
        <f>C8/1111*219.62</f>
        <v>187.7938793879388</v>
      </c>
    </row>
    <row r="9" spans="1:5">
      <c r="A9" t="s">
        <v>70</v>
      </c>
      <c r="B9" t="s">
        <v>20</v>
      </c>
      <c r="C9">
        <v>204</v>
      </c>
      <c r="D9" s="1">
        <v>1.5</v>
      </c>
      <c r="E9" s="1">
        <v>38.83</v>
      </c>
    </row>
    <row r="10" spans="1:5">
      <c r="A10" t="s">
        <v>71</v>
      </c>
      <c r="B10" t="s">
        <v>20</v>
      </c>
      <c r="C10">
        <v>153</v>
      </c>
      <c r="D10" s="1">
        <v>1.4</v>
      </c>
      <c r="E10" s="1">
        <v>34.909999999999997</v>
      </c>
    </row>
    <row r="11" spans="1:5">
      <c r="A11" t="s">
        <v>72</v>
      </c>
      <c r="B11" t="s">
        <v>20</v>
      </c>
      <c r="C11">
        <v>386</v>
      </c>
      <c r="D11" s="1">
        <v>3.3</v>
      </c>
      <c r="E11" s="1">
        <v>83.55</v>
      </c>
    </row>
    <row r="12" spans="1:5">
      <c r="A12" t="s">
        <v>73</v>
      </c>
      <c r="B12" t="s">
        <v>19</v>
      </c>
      <c r="C12">
        <v>207</v>
      </c>
      <c r="D12" s="1">
        <v>6.9</v>
      </c>
      <c r="E12" s="1">
        <v>5.79</v>
      </c>
    </row>
    <row r="13" spans="1:5">
      <c r="C13">
        <f>SUM(C3:C12)</f>
        <v>3757</v>
      </c>
      <c r="D13" s="1">
        <f>SUM(D3:D12)</f>
        <v>36.439243924392436</v>
      </c>
      <c r="E13" s="1">
        <f>SUM(E4:E11)</f>
        <v>699.07387938793875</v>
      </c>
    </row>
    <row r="14" spans="1:5">
      <c r="A14" t="s">
        <v>75</v>
      </c>
    </row>
    <row r="15" spans="1:5">
      <c r="A15" t="s">
        <v>76</v>
      </c>
    </row>
    <row r="16" spans="1:5">
      <c r="A16" t="s">
        <v>78</v>
      </c>
    </row>
    <row r="17" spans="1:1">
      <c r="A1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Smith</dc:creator>
  <cp:lastModifiedBy>Stephen Smith</cp:lastModifiedBy>
  <dcterms:created xsi:type="dcterms:W3CDTF">2012-07-04T13:24:00Z</dcterms:created>
  <dcterms:modified xsi:type="dcterms:W3CDTF">2012-07-05T23:54:17Z</dcterms:modified>
</cp:coreProperties>
</file>